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<sst xmlns="http://schemas.openxmlformats.org/spreadsheetml/2006/main" count="171" uniqueCount="123">
  <si>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</si>
  <si>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</si>
  <si>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</si>
  <si>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</si>
  <si>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</si>
  <si>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</si>
  <si>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</si>
  <si>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</si>
  <si>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</si>
  <si>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</si>
  <si>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</si>
  <si>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</si>
  <si>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</si>
  <si>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</si>
  <si>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</si>
  <si>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</si>
  <si>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</si>
  <si>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</si>
  <si>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</si>
  <si>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</si>
  <si>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</si>
  <si>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</si>
  <si>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</si>
  <si>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</si>
  <si>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</si>
  <si>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</si>
  <si>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</si>
  <si>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</si>
  <si>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</si>
  <si>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</si>
  <si>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</si>
  <si>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</si>
  <si>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</si>
  <si>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</si>
  <si>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</si>
  <si>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</si>
  <si>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</si>
  <si>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</si>
  <si>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</si>
  <si>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</si>
  <si>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</si>
  <si>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</si>
  <si>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</si>
  <si>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</si>
  <si>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</si>
  <si>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</si>
  <si>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</si>
  <si>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</si>
  <si>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</si>
  <si>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</si>
  <si>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</si>
  <si>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</si>
  <si>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</si>
  <si>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</si>
  <si>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</si>
  <si>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</si>
  <si>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</si>
  <si>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</si>
  <si>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</si>
  <si>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</si>
  <si>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</si>
  <si>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</si>
  <si>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</si>
  <si>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</si>
  <si>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</si>
  <si>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</si>
  <si>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</si>
  <si>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</si>
  <si>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</si>
  <si>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</si>
  <si>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</si>
  <si>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</si>
  <si>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</si>
  <si>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</si>
  <si>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</si>
  <si>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</si>
  <si>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</si>
  <si>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</si>
  <si>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</si>
  <si>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</si>
  <si>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</si>
  <si>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</si>
  <si>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</si>
  <si>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</si>
  <si>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</si>
  <si>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</si>
  <si>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</si>
  <si>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</si>
  <si>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</si>
  <si>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</si>
  <si>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</si>
  <si>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</si>
  <si>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</si>
  <si>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</si>
  <si>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</si>
  <si>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</si>
  <si>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</si>
  <si>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</si>
  <si>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</si>
  <si>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</si>
  <si>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</si>
  <si>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</si>
  <si>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</si>
  <si>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</si>
  <si>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</si>
  <si>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</si>
  <si>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</si>
  <si>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</si>
  <si>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</si>
  <si>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</si>
  <si>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</si>
  <si>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</si>
  <si>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</si>
  <si>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</si>
  <si>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</si>
  <si>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2-х місяців, тис.грн.</t>
  </si>
  <si>
    <t>План на рік, тис.грн.</t>
  </si>
  <si>
    <t>Відсоток виконання плану 2-х місяців</t>
  </si>
  <si>
    <t>Відхилення від плану 2-х місяців,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</si>
  <si>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</si>
  <si>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</si>
  <si>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</si>
  <si>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Аналіз використання коштів міського бюджету за 2016 рік станом на 25.02.2016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</si>
</sst>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3898239"/>
        <c:axId val="35084152"/>
      </c:bar3D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84152"/>
        <c:crosses val="autoZero"/>
        <c:auto val="1"/>
        <c:lblOffset val="100"/>
        <c:tickLblSkip val="1"/>
        <c:noMultiLvlLbl val="0"/>
      </c:catAx>
      <c:valAx>
        <c:axId val="3508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47321913"/>
        <c:axId val="23244034"/>
      </c:bar3D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21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7869715"/>
        <c:axId val="3718572"/>
      </c:bar3D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69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33467149"/>
        <c:axId val="32768886"/>
      </c:bar3D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26484519"/>
        <c:axId val="37034080"/>
      </c:bar3D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34080"/>
        <c:crosses val="autoZero"/>
        <c:auto val="1"/>
        <c:lblOffset val="100"/>
        <c:tickLblSkip val="2"/>
        <c:noMultiLvlLbl val="0"/>
      </c:catAx>
      <c:valAx>
        <c:axId val="3703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64871265"/>
        <c:axId val="46970474"/>
      </c:bar3D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2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20081083"/>
        <c:axId val="46512020"/>
      </c:bar3D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810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15954997"/>
        <c:axId val="9377246"/>
      </c:bar3D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17286351"/>
        <c:axId val="21359432"/>
      </c:bar3D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6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115</v>
      </c>
      <c r="C3" s="135" t="s">
        <v>116</v>
      </c>
      <c r="D3" s="135" t="s">
        <v>28</v>
      </c>
      <c r="E3" s="135" t="s">
        <v>27</v>
      </c>
      <c r="F3" s="135" t="s">
        <v>117</v>
      </c>
      <c r="G3" s="135" t="s">
        <v>120</v>
      </c>
      <c r="H3" s="135" t="s">
        <v>118</v>
      </c>
      <c r="I3" s="135" t="s">
        <v>119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74836.6</v>
      </c>
      <c r="C6" s="50">
        <v>426773.1</v>
      </c>
      <c r="D6" s="51">
        <f>3665.2+5419.3+785.5+220.1+4705.1+6727.5+675.5+217.6+0.2+117.8+63.8+2988.6+54.7+4050.2+6796.2+2.3+3434.8+4933.2+160.9+167.4+314.1+2557.2</f>
        <v>48057.2</v>
      </c>
      <c r="E6" s="3">
        <f>D6/D149*100</f>
        <v>32.383601595150395</v>
      </c>
      <c r="F6" s="3">
        <f>D6/B6*100</f>
        <v>64.21617230071915</v>
      </c>
      <c r="G6" s="3">
        <f aca="true" t="shared" si="0" ref="G6:G43">D6/C6*100</f>
        <v>11.26059725882442</v>
      </c>
      <c r="H6" s="51">
        <f>B6-D6</f>
        <v>26779.40000000001</v>
      </c>
      <c r="I6" s="51">
        <f aca="true" t="shared" si="1" ref="I6:I43">C6-D6</f>
        <v>378715.89999999997</v>
      </c>
    </row>
    <row r="7" spans="1:9" s="41" customFormat="1" ht="18.75">
      <c r="A7" s="112" t="s">
        <v>101</v>
      </c>
      <c r="B7" s="105">
        <v>27210.8</v>
      </c>
      <c r="C7" s="102">
        <v>185717.4</v>
      </c>
      <c r="D7" s="113">
        <f>5419.3+86.3+97.4+56.7+6727.5+560.1+2.9+0.2+1.9+63.8+1046.3+6719.3+1648.4+0.1</f>
        <v>22430.2</v>
      </c>
      <c r="E7" s="103">
        <f>D7/D6*100</f>
        <v>46.67396352679724</v>
      </c>
      <c r="F7" s="103">
        <f>D7/B7*100</f>
        <v>82.43124053684568</v>
      </c>
      <c r="G7" s="103">
        <f>D7/C7*100</f>
        <v>12.077597467980922</v>
      </c>
      <c r="H7" s="113">
        <f>B7-D7</f>
        <v>4780.5999999999985</v>
      </c>
      <c r="I7" s="113">
        <f t="shared" si="1"/>
        <v>163287.19999999998</v>
      </c>
    </row>
    <row r="8" spans="1:9" ht="18">
      <c r="A8" s="26" t="s">
        <v>3</v>
      </c>
      <c r="B8" s="46">
        <v>46642.1</v>
      </c>
      <c r="C8" s="47">
        <v>298081.6</v>
      </c>
      <c r="D8" s="48">
        <f>3665.2+5419.3+4645.9+6727.5+3.3+4022.1+5553.6+3348.6+2163.6</f>
        <v>35549.1</v>
      </c>
      <c r="E8" s="1">
        <f>D8/D6*100</f>
        <v>73.97247446792572</v>
      </c>
      <c r="F8" s="1">
        <f>D8/B8*100</f>
        <v>76.21676554014506</v>
      </c>
      <c r="G8" s="1">
        <f t="shared" si="0"/>
        <v>11.92596255521978</v>
      </c>
      <c r="H8" s="48">
        <f>B8-D8</f>
        <v>11093</v>
      </c>
      <c r="I8" s="48">
        <f t="shared" si="1"/>
        <v>262532.5</v>
      </c>
    </row>
    <row r="9" spans="1:9" ht="18">
      <c r="A9" s="26" t="s">
        <v>2</v>
      </c>
      <c r="B9" s="46">
        <v>10.6</v>
      </c>
      <c r="C9" s="47">
        <v>85.7</v>
      </c>
      <c r="D9" s="48">
        <f>4</f>
        <v>4</v>
      </c>
      <c r="E9" s="12">
        <f>D9/D6*100</f>
        <v>0.008323414597604521</v>
      </c>
      <c r="F9" s="128">
        <f>D9/B9*100</f>
        <v>37.735849056603776</v>
      </c>
      <c r="G9" s="1">
        <f t="shared" si="0"/>
        <v>4.667444574095683</v>
      </c>
      <c r="H9" s="48">
        <f aca="true" t="shared" si="2" ref="H9:H43">B9-D9</f>
        <v>6.6</v>
      </c>
      <c r="I9" s="48">
        <f t="shared" si="1"/>
        <v>81.7</v>
      </c>
    </row>
    <row r="10" spans="1:9" ht="18">
      <c r="A10" s="26" t="s">
        <v>1</v>
      </c>
      <c r="B10" s="46">
        <v>5526.9</v>
      </c>
      <c r="C10" s="47">
        <v>28052.9</v>
      </c>
      <c r="D10" s="52">
        <f>345.3+106.4+54.5+56.4+92.4+115.9+196.4+52.1+68.7+86.2+0.1+55.3+64.8+145.1</f>
        <v>1439.5999999999997</v>
      </c>
      <c r="E10" s="1">
        <f>D10/D6*100</f>
        <v>2.9955969136778666</v>
      </c>
      <c r="F10" s="1">
        <f aca="true" t="shared" si="3" ref="F10:F41">D10/B10*100</f>
        <v>26.047151205920134</v>
      </c>
      <c r="G10" s="1">
        <f t="shared" si="0"/>
        <v>5.13173326108887</v>
      </c>
      <c r="H10" s="48">
        <f t="shared" si="2"/>
        <v>4087.3</v>
      </c>
      <c r="I10" s="48">
        <f t="shared" si="1"/>
        <v>26613.300000000003</v>
      </c>
    </row>
    <row r="11" spans="1:9" ht="18">
      <c r="A11" s="26" t="s">
        <v>0</v>
      </c>
      <c r="B11" s="46">
        <v>18382</v>
      </c>
      <c r="C11" s="47">
        <v>71654.8</v>
      </c>
      <c r="D11" s="53">
        <f>435.2+111+615.5+123.2+0.2+1.9+63.8+2790+1.3+13.9+1170.1+0.8+3680.6+96.8+2.2+30.4</f>
        <v>9136.9</v>
      </c>
      <c r="E11" s="1">
        <f>D11/D6*100</f>
        <v>19.012551709213188</v>
      </c>
      <c r="F11" s="1">
        <f t="shared" si="3"/>
        <v>49.7056903492547</v>
      </c>
      <c r="G11" s="1">
        <f t="shared" si="0"/>
        <v>12.7512741644663</v>
      </c>
      <c r="H11" s="48">
        <f t="shared" si="2"/>
        <v>9245.1</v>
      </c>
      <c r="I11" s="48">
        <f t="shared" si="1"/>
        <v>62517.9</v>
      </c>
    </row>
    <row r="12" spans="1:9" ht="18">
      <c r="A12" s="26" t="s">
        <v>15</v>
      </c>
      <c r="B12" s="46">
        <v>2572.6</v>
      </c>
      <c r="C12" s="47">
        <v>14712</v>
      </c>
      <c r="D12" s="48">
        <f>5+12.7+3.8+1250.6+160.8+241+218.1</f>
        <v>1891.9999999999998</v>
      </c>
      <c r="E12" s="1">
        <f>D12/D6*100</f>
        <v>3.9369751046669386</v>
      </c>
      <c r="F12" s="1">
        <f t="shared" si="3"/>
        <v>73.54427427505247</v>
      </c>
      <c r="G12" s="1">
        <f t="shared" si="0"/>
        <v>12.860250135943446</v>
      </c>
      <c r="H12" s="48">
        <f t="shared" si="2"/>
        <v>680.6000000000001</v>
      </c>
      <c r="I12" s="48">
        <f t="shared" si="1"/>
        <v>12820</v>
      </c>
    </row>
    <row r="13" spans="1:9" ht="18.75" thickBot="1">
      <c r="A13" s="26" t="s">
        <v>34</v>
      </c>
      <c r="B13" s="47">
        <f>B6-B8-B9-B10-B11-B12</f>
        <v>1702.4000000000074</v>
      </c>
      <c r="C13" s="47">
        <f>C6-C8-C9-C10-C11-C12</f>
        <v>14186.099999999991</v>
      </c>
      <c r="D13" s="47">
        <f>D6-D8-D9-D10-D11-D12</f>
        <v>35.59999999999877</v>
      </c>
      <c r="E13" s="1">
        <f>D13/D6*100</f>
        <v>0.07407838991867768</v>
      </c>
      <c r="F13" s="1">
        <f t="shared" si="3"/>
        <v>2.0911654135337536</v>
      </c>
      <c r="G13" s="1">
        <f t="shared" si="0"/>
        <v>0.2509498734676817</v>
      </c>
      <c r="H13" s="48">
        <f t="shared" si="2"/>
        <v>1666.8000000000086</v>
      </c>
      <c r="I13" s="48">
        <f t="shared" si="1"/>
        <v>14150.499999999993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38443.2</v>
      </c>
      <c r="C18" s="50">
        <v>250434.1</v>
      </c>
      <c r="D18" s="51">
        <f>5722.2+538+9070.5+238.7+827+135.9+565.7+282.3+195.5+508.6+5725.7+2584.4+8528.6+385.3</f>
        <v>35308.40000000001</v>
      </c>
      <c r="E18" s="3">
        <f>D18/D149*100</f>
        <v>23.79275443767445</v>
      </c>
      <c r="F18" s="3">
        <f>D18/B18*100</f>
        <v>91.84563199733637</v>
      </c>
      <c r="G18" s="3">
        <f t="shared" si="0"/>
        <v>14.098878707013146</v>
      </c>
      <c r="H18" s="51">
        <f>B18-D18</f>
        <v>3134.7999999999884</v>
      </c>
      <c r="I18" s="51">
        <f t="shared" si="1"/>
        <v>215125.7</v>
      </c>
    </row>
    <row r="19" spans="1:9" s="41" customFormat="1" ht="18.75">
      <c r="A19" s="112" t="s">
        <v>102</v>
      </c>
      <c r="B19" s="105">
        <v>29342.1</v>
      </c>
      <c r="C19" s="102">
        <v>188049.2</v>
      </c>
      <c r="D19" s="113">
        <f>5722.2+537+5375.9+205.8+772.6+85.2+565.7+282.3+110.6+420+5725.7+2458.6+4587.6+87.8</f>
        <v>26936.999999999996</v>
      </c>
      <c r="E19" s="103">
        <f>D19/D18*100</f>
        <v>76.29062772598019</v>
      </c>
      <c r="F19" s="103">
        <f t="shared" si="3"/>
        <v>91.80324516650137</v>
      </c>
      <c r="G19" s="103">
        <f t="shared" si="0"/>
        <v>14.324442752215907</v>
      </c>
      <c r="H19" s="113">
        <f t="shared" si="2"/>
        <v>2405.100000000002</v>
      </c>
      <c r="I19" s="113">
        <f t="shared" si="1"/>
        <v>161112.2</v>
      </c>
    </row>
    <row r="20" spans="1:9" ht="18">
      <c r="A20" s="26" t="s">
        <v>5</v>
      </c>
      <c r="B20" s="46">
        <v>29710.9</v>
      </c>
      <c r="C20" s="47">
        <v>186641.3</v>
      </c>
      <c r="D20" s="48">
        <f>5722.2+1+8655.9+32.9+2.4+5725.7+8251+357.7</f>
        <v>28748.8</v>
      </c>
      <c r="E20" s="1">
        <f>D20/D18*100</f>
        <v>81.4219845702439</v>
      </c>
      <c r="F20" s="1">
        <f t="shared" si="3"/>
        <v>96.76179449293019</v>
      </c>
      <c r="G20" s="1">
        <f t="shared" si="0"/>
        <v>15.403236046898517</v>
      </c>
      <c r="H20" s="48">
        <f t="shared" si="2"/>
        <v>962.1000000000022</v>
      </c>
      <c r="I20" s="48">
        <f t="shared" si="1"/>
        <v>157892.5</v>
      </c>
    </row>
    <row r="21" spans="1:9" ht="18">
      <c r="A21" s="26" t="s">
        <v>2</v>
      </c>
      <c r="B21" s="46">
        <v>2137.5</v>
      </c>
      <c r="C21" s="47">
        <v>20454.1</v>
      </c>
      <c r="D21" s="48">
        <f>80.5+183.6+169.4+194.4+100+1.7+148.4+215.7+278.3+117.8</f>
        <v>1489.8</v>
      </c>
      <c r="E21" s="1">
        <f>D21/D18*100</f>
        <v>4.2193925524804285</v>
      </c>
      <c r="F21" s="1">
        <f t="shared" si="3"/>
        <v>69.69824561403509</v>
      </c>
      <c r="G21" s="1">
        <f t="shared" si="0"/>
        <v>7.283625287839603</v>
      </c>
      <c r="H21" s="48">
        <f t="shared" si="2"/>
        <v>647.7</v>
      </c>
      <c r="I21" s="48">
        <f t="shared" si="1"/>
        <v>18964.3</v>
      </c>
    </row>
    <row r="22" spans="1:9" ht="18">
      <c r="A22" s="26" t="s">
        <v>1</v>
      </c>
      <c r="B22" s="46">
        <v>618.4</v>
      </c>
      <c r="C22" s="47">
        <v>3917.9</v>
      </c>
      <c r="D22" s="48">
        <f>127.7+23.6+33.5+86.7+19.5+2.9+78.1+10.6</f>
        <v>382.6</v>
      </c>
      <c r="E22" s="1">
        <f>D22/D18*100</f>
        <v>1.0835948386219707</v>
      </c>
      <c r="F22" s="1">
        <f t="shared" si="3"/>
        <v>61.869340232858995</v>
      </c>
      <c r="G22" s="1">
        <f t="shared" si="0"/>
        <v>9.765435564971032</v>
      </c>
      <c r="H22" s="48">
        <f t="shared" si="2"/>
        <v>235.79999999999995</v>
      </c>
      <c r="I22" s="48">
        <f t="shared" si="1"/>
        <v>3535.3</v>
      </c>
    </row>
    <row r="23" spans="1:9" ht="18">
      <c r="A23" s="26" t="s">
        <v>0</v>
      </c>
      <c r="B23" s="46">
        <v>5035.8</v>
      </c>
      <c r="C23" s="47">
        <v>27804.4</v>
      </c>
      <c r="D23" s="48">
        <f>230.7+158.8+520.8+110.9+465.7+246.3+3.9+169.6+1975.3+126.5+2</f>
        <v>4010.5</v>
      </c>
      <c r="E23" s="1">
        <f>D23/D18*100</f>
        <v>11.358486932288065</v>
      </c>
      <c r="F23" s="1">
        <f t="shared" si="3"/>
        <v>79.63977918106359</v>
      </c>
      <c r="G23" s="1">
        <f t="shared" si="0"/>
        <v>14.423976061342808</v>
      </c>
      <c r="H23" s="48">
        <f t="shared" si="2"/>
        <v>1025.3000000000002</v>
      </c>
      <c r="I23" s="48">
        <f t="shared" si="1"/>
        <v>23793.9</v>
      </c>
    </row>
    <row r="24" spans="1:9" ht="18">
      <c r="A24" s="26" t="s">
        <v>15</v>
      </c>
      <c r="B24" s="46">
        <v>248.4</v>
      </c>
      <c r="C24" s="47">
        <v>1591.6</v>
      </c>
      <c r="D24" s="48">
        <f>73.6+22.6+5.3+2.4+2.5+128.1</f>
        <v>234.5</v>
      </c>
      <c r="E24" s="1">
        <f>D24/D18*100</f>
        <v>0.6641479081465033</v>
      </c>
      <c r="F24" s="1">
        <f t="shared" si="3"/>
        <v>94.40418679549114</v>
      </c>
      <c r="G24" s="1">
        <f t="shared" si="0"/>
        <v>14.733601407388791</v>
      </c>
      <c r="H24" s="48">
        <f t="shared" si="2"/>
        <v>13.900000000000006</v>
      </c>
      <c r="I24" s="48">
        <f t="shared" si="1"/>
        <v>1357.1</v>
      </c>
    </row>
    <row r="25" spans="1:9" ht="18.75" thickBot="1">
      <c r="A25" s="26" t="s">
        <v>34</v>
      </c>
      <c r="B25" s="47">
        <f>B18-B20-B21-B22-B23-B24</f>
        <v>692.1999999999958</v>
      </c>
      <c r="C25" s="47">
        <f>C18-C20-C21-C22-C23-C24</f>
        <v>10024.800000000016</v>
      </c>
      <c r="D25" s="47">
        <f>D18-D20-D21-D22-D23-D24</f>
        <v>442.2000000000089</v>
      </c>
      <c r="E25" s="1">
        <f>D25/D18*100</f>
        <v>1.2523931982191456</v>
      </c>
      <c r="F25" s="1">
        <f t="shared" si="3"/>
        <v>63.883270731004274</v>
      </c>
      <c r="G25" s="1">
        <f t="shared" si="0"/>
        <v>4.41106056978701</v>
      </c>
      <c r="H25" s="48">
        <f t="shared" si="2"/>
        <v>249.99999999998693</v>
      </c>
      <c r="I25" s="48">
        <f t="shared" si="1"/>
        <v>9582.600000000006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8258.7</v>
      </c>
      <c r="C33" s="50">
        <v>50266.1</v>
      </c>
      <c r="D33" s="54">
        <f>1335+343.1+78.5+19.5+60.6+1286.4+5+525.1+62.5+112+1.7+1386+0.2+29.8+71.3+135.1+1382.9+3.4</f>
        <v>6838.1</v>
      </c>
      <c r="E33" s="3">
        <f>D33/D149*100</f>
        <v>4.607890307129795</v>
      </c>
      <c r="F33" s="3">
        <f>D33/B33*100</f>
        <v>82.79874556528267</v>
      </c>
      <c r="G33" s="3">
        <f t="shared" si="0"/>
        <v>13.60380057334864</v>
      </c>
      <c r="H33" s="51">
        <f t="shared" si="2"/>
        <v>1420.6000000000004</v>
      </c>
      <c r="I33" s="51">
        <f t="shared" si="1"/>
        <v>43428</v>
      </c>
    </row>
    <row r="34" spans="1:9" ht="18">
      <c r="A34" s="26" t="s">
        <v>3</v>
      </c>
      <c r="B34" s="46">
        <v>5403.2</v>
      </c>
      <c r="C34" s="47">
        <v>35016.6</v>
      </c>
      <c r="D34" s="48">
        <f>1335+1268.2+1354.9+1304.2</f>
        <v>5262.3</v>
      </c>
      <c r="E34" s="1">
        <f>D34/D33*100</f>
        <v>76.95558707828198</v>
      </c>
      <c r="F34" s="1">
        <f t="shared" si="3"/>
        <v>97.39228605270951</v>
      </c>
      <c r="G34" s="1">
        <f t="shared" si="0"/>
        <v>15.028015284179505</v>
      </c>
      <c r="H34" s="48">
        <f t="shared" si="2"/>
        <v>140.89999999999964</v>
      </c>
      <c r="I34" s="48">
        <f t="shared" si="1"/>
        <v>29754.3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793.3</v>
      </c>
      <c r="C36" s="47">
        <v>3384.4</v>
      </c>
      <c r="D36" s="48">
        <f>10.5+61.2+112+1.1+10.5+29.3+0.6+6.8+9.7+3.4</f>
        <v>245.1</v>
      </c>
      <c r="E36" s="1">
        <f>D36/D33*100</f>
        <v>3.5843289802722977</v>
      </c>
      <c r="F36" s="1">
        <f t="shared" si="3"/>
        <v>30.89625614521619</v>
      </c>
      <c r="G36" s="1">
        <f t="shared" si="0"/>
        <v>7.242051766930622</v>
      </c>
      <c r="H36" s="48">
        <f t="shared" si="2"/>
        <v>548.1999999999999</v>
      </c>
      <c r="I36" s="48">
        <f t="shared" si="1"/>
        <v>3139.3</v>
      </c>
    </row>
    <row r="37" spans="1:9" s="41" customFormat="1" ht="18.75">
      <c r="A37" s="20" t="s">
        <v>7</v>
      </c>
      <c r="B37" s="55">
        <v>71.1</v>
      </c>
      <c r="C37" s="56">
        <v>929.3</v>
      </c>
      <c r="D37" s="57">
        <f>11.2+19.5+15.2+5</f>
        <v>50.9</v>
      </c>
      <c r="E37" s="17">
        <f>D37/D33*100</f>
        <v>0.7443588131206036</v>
      </c>
      <c r="F37" s="17">
        <f t="shared" si="3"/>
        <v>71.58931082981717</v>
      </c>
      <c r="G37" s="17">
        <f t="shared" si="0"/>
        <v>5.477240934036372</v>
      </c>
      <c r="H37" s="57">
        <f t="shared" si="2"/>
        <v>20.199999999999996</v>
      </c>
      <c r="I37" s="57">
        <f t="shared" si="1"/>
        <v>878.4</v>
      </c>
    </row>
    <row r="38" spans="1:9" ht="18">
      <c r="A38" s="26" t="s">
        <v>15</v>
      </c>
      <c r="B38" s="46">
        <v>10.2</v>
      </c>
      <c r="C38" s="47">
        <v>60.8</v>
      </c>
      <c r="D38" s="47">
        <f>5.1+5.1</f>
        <v>10.2</v>
      </c>
      <c r="E38" s="1">
        <f>D38/D33*100</f>
        <v>0.1491642415290797</v>
      </c>
      <c r="F38" s="1">
        <f t="shared" si="3"/>
        <v>100</v>
      </c>
      <c r="G38" s="1">
        <f t="shared" si="0"/>
        <v>16.776315789473685</v>
      </c>
      <c r="H38" s="48">
        <f t="shared" si="2"/>
        <v>0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1980.9000000000008</v>
      </c>
      <c r="C39" s="46">
        <f>C33-C34-C36-C37-C35-C38</f>
        <v>10875.000000000002</v>
      </c>
      <c r="D39" s="46">
        <f>D33-D34-D36-D37-D35-D38</f>
        <v>1269.6000000000001</v>
      </c>
      <c r="E39" s="1">
        <f>D39/D33*100</f>
        <v>18.56656088679604</v>
      </c>
      <c r="F39" s="1">
        <f t="shared" si="3"/>
        <v>64.09207935786762</v>
      </c>
      <c r="G39" s="1">
        <f t="shared" si="0"/>
        <v>11.67448275862069</v>
      </c>
      <c r="H39" s="48">
        <f>B39-D39</f>
        <v>711.3000000000006</v>
      </c>
      <c r="I39" s="48">
        <f t="shared" si="1"/>
        <v>9605.400000000001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138.2</v>
      </c>
      <c r="C43" s="50">
        <v>829.5</v>
      </c>
      <c r="D43" s="51">
        <f>22.2+3</f>
        <v>25.2</v>
      </c>
      <c r="E43" s="3">
        <f>D43/D149*100</f>
        <v>0.016981154961125285</v>
      </c>
      <c r="F43" s="3">
        <f>D43/B43*100</f>
        <v>18.234442836468887</v>
      </c>
      <c r="G43" s="3">
        <f t="shared" si="0"/>
        <v>3.0379746835443036</v>
      </c>
      <c r="H43" s="51">
        <f t="shared" si="2"/>
        <v>112.99999999999999</v>
      </c>
      <c r="I43" s="51">
        <f t="shared" si="1"/>
        <v>804.3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1219.8</v>
      </c>
      <c r="C45" s="50">
        <v>7741.6</v>
      </c>
      <c r="D45" s="51">
        <f>224.1+260.8+14.4+236.4+3.2+114.6</f>
        <v>853.5</v>
      </c>
      <c r="E45" s="3">
        <f>D45/D149*100</f>
        <v>0.575135546004779</v>
      </c>
      <c r="F45" s="3">
        <f>D45/B45*100</f>
        <v>69.97048696507623</v>
      </c>
      <c r="G45" s="3">
        <f aca="true" t="shared" si="4" ref="G45:G75">D45/C45*100</f>
        <v>11.024852743618888</v>
      </c>
      <c r="H45" s="51">
        <f>B45-D45</f>
        <v>366.29999999999995</v>
      </c>
      <c r="I45" s="51">
        <f aca="true" t="shared" si="5" ref="I45:I76">C45-D45</f>
        <v>6888.1</v>
      </c>
    </row>
    <row r="46" spans="1:9" ht="18">
      <c r="A46" s="26" t="s">
        <v>3</v>
      </c>
      <c r="B46" s="46">
        <v>1035.2</v>
      </c>
      <c r="C46" s="47">
        <v>6753.6</v>
      </c>
      <c r="D46" s="48">
        <f>224.1+258.6+235.3</f>
        <v>718</v>
      </c>
      <c r="E46" s="1">
        <f>D46/D45*100</f>
        <v>84.12419449326303</v>
      </c>
      <c r="F46" s="1">
        <f aca="true" t="shared" si="6" ref="F46:F73">D46/B46*100</f>
        <v>69.35857805255023</v>
      </c>
      <c r="G46" s="1">
        <f t="shared" si="4"/>
        <v>10.631366974650556</v>
      </c>
      <c r="H46" s="48">
        <f aca="true" t="shared" si="7" ref="H46:H73">B46-D46</f>
        <v>317.20000000000005</v>
      </c>
      <c r="I46" s="48">
        <f t="shared" si="5"/>
        <v>6035.6</v>
      </c>
    </row>
    <row r="47" spans="1:9" ht="18">
      <c r="A47" s="26" t="s">
        <v>2</v>
      </c>
      <c r="B47" s="46">
        <v>0</v>
      </c>
      <c r="C47" s="47">
        <v>1.3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1.3</v>
      </c>
    </row>
    <row r="48" spans="1:9" ht="18">
      <c r="A48" s="26" t="s">
        <v>1</v>
      </c>
      <c r="B48" s="46">
        <v>6.6</v>
      </c>
      <c r="C48" s="47">
        <v>70.7</v>
      </c>
      <c r="D48" s="48">
        <f>0.2+2.1</f>
        <v>2.3000000000000003</v>
      </c>
      <c r="E48" s="1">
        <f>D48/D45*100</f>
        <v>0.2694786174575278</v>
      </c>
      <c r="F48" s="1">
        <f t="shared" si="6"/>
        <v>34.84848484848486</v>
      </c>
      <c r="G48" s="1">
        <f t="shared" si="4"/>
        <v>3.253182461103253</v>
      </c>
      <c r="H48" s="48">
        <f t="shared" si="7"/>
        <v>4.299999999999999</v>
      </c>
      <c r="I48" s="48">
        <f t="shared" si="5"/>
        <v>68.4</v>
      </c>
    </row>
    <row r="49" spans="1:9" ht="18">
      <c r="A49" s="26" t="s">
        <v>0</v>
      </c>
      <c r="B49" s="46">
        <v>142.6</v>
      </c>
      <c r="C49" s="47">
        <v>568.5</v>
      </c>
      <c r="D49" s="48">
        <f>2.2+2.5+0.8+112.4</f>
        <v>117.9</v>
      </c>
      <c r="E49" s="1">
        <f>D49/D45*100</f>
        <v>13.813708260105448</v>
      </c>
      <c r="F49" s="1">
        <f t="shared" si="6"/>
        <v>82.6788218793829</v>
      </c>
      <c r="G49" s="1">
        <f t="shared" si="4"/>
        <v>20.738786279683378</v>
      </c>
      <c r="H49" s="48">
        <f t="shared" si="7"/>
        <v>24.69999999999999</v>
      </c>
      <c r="I49" s="48">
        <f t="shared" si="5"/>
        <v>450.6</v>
      </c>
    </row>
    <row r="50" spans="1:9" ht="18.75" thickBot="1">
      <c r="A50" s="26" t="s">
        <v>34</v>
      </c>
      <c r="B50" s="47">
        <f>B45-B46-B49-B48-B47</f>
        <v>35.39999999999991</v>
      </c>
      <c r="C50" s="47">
        <f>C45-C46-C49-C48-C47</f>
        <v>347.5</v>
      </c>
      <c r="D50" s="47">
        <f>D45-D46-D49-D48-D47</f>
        <v>15.299999999999994</v>
      </c>
      <c r="E50" s="1">
        <f>D50/D45*100</f>
        <v>1.7926186291739885</v>
      </c>
      <c r="F50" s="1">
        <f t="shared" si="6"/>
        <v>43.22033898305094</v>
      </c>
      <c r="G50" s="1">
        <f t="shared" si="4"/>
        <v>4.402877697841725</v>
      </c>
      <c r="H50" s="48">
        <f t="shared" si="7"/>
        <v>20.09999999999992</v>
      </c>
      <c r="I50" s="48">
        <f t="shared" si="5"/>
        <v>332.2</v>
      </c>
    </row>
    <row r="51" spans="1:9" ht="18.75" thickBot="1">
      <c r="A51" s="25" t="s">
        <v>4</v>
      </c>
      <c r="B51" s="49">
        <v>2420.9</v>
      </c>
      <c r="C51" s="50">
        <v>16075.7</v>
      </c>
      <c r="D51" s="51">
        <f>8+294.9+37.1+10.7+29.1+464+10.3+76.6+3.8+16.5+359.8+101.4+28.4+17.4+423.7</f>
        <v>1881.7000000000003</v>
      </c>
      <c r="E51" s="3">
        <f>D51/D149*100</f>
        <v>1.267993622632915</v>
      </c>
      <c r="F51" s="3">
        <f>D51/B51*100</f>
        <v>77.72729150315999</v>
      </c>
      <c r="G51" s="3">
        <f t="shared" si="4"/>
        <v>11.705244561667612</v>
      </c>
      <c r="H51" s="51">
        <f>B51-D51</f>
        <v>539.1999999999998</v>
      </c>
      <c r="I51" s="51">
        <f t="shared" si="5"/>
        <v>14194</v>
      </c>
    </row>
    <row r="52" spans="1:9" ht="18">
      <c r="A52" s="26" t="s">
        <v>3</v>
      </c>
      <c r="B52" s="46">
        <v>1508.5</v>
      </c>
      <c r="C52" s="47">
        <v>10328.7</v>
      </c>
      <c r="D52" s="48">
        <f>8+294.9+437.7+298.5+423.7</f>
        <v>1462.8</v>
      </c>
      <c r="E52" s="1">
        <f>D52/D51*100</f>
        <v>77.73821544348193</v>
      </c>
      <c r="F52" s="1">
        <f t="shared" si="6"/>
        <v>96.97050049718263</v>
      </c>
      <c r="G52" s="1">
        <f t="shared" si="4"/>
        <v>14.162479305236864</v>
      </c>
      <c r="H52" s="48">
        <f t="shared" si="7"/>
        <v>45.700000000000045</v>
      </c>
      <c r="I52" s="48">
        <f t="shared" si="5"/>
        <v>8865.900000000001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23.8</v>
      </c>
      <c r="C54" s="47">
        <v>287</v>
      </c>
      <c r="D54" s="48">
        <f>1.3+0.7+2.1</f>
        <v>4.1</v>
      </c>
      <c r="E54" s="1">
        <f>D54/D51*100</f>
        <v>0.21788807992772488</v>
      </c>
      <c r="F54" s="1">
        <f t="shared" si="6"/>
        <v>17.226890756302517</v>
      </c>
      <c r="G54" s="1">
        <f t="shared" si="4"/>
        <v>1.4285714285714286</v>
      </c>
      <c r="H54" s="48">
        <f t="shared" si="7"/>
        <v>19.700000000000003</v>
      </c>
      <c r="I54" s="48">
        <f t="shared" si="5"/>
        <v>282.9</v>
      </c>
    </row>
    <row r="55" spans="1:9" ht="18">
      <c r="A55" s="26" t="s">
        <v>0</v>
      </c>
      <c r="B55" s="46">
        <v>197.4</v>
      </c>
      <c r="C55" s="47">
        <v>933.1</v>
      </c>
      <c r="D55" s="48">
        <f>10.7+0.6+7.6+85.1+28.4+14.4</f>
        <v>146.8</v>
      </c>
      <c r="E55" s="1">
        <f>D55/D51*100</f>
        <v>7.801456130095126</v>
      </c>
      <c r="F55" s="1">
        <f t="shared" si="6"/>
        <v>74.36676798378926</v>
      </c>
      <c r="G55" s="1">
        <f t="shared" si="4"/>
        <v>15.732504554710106</v>
      </c>
      <c r="H55" s="48">
        <f t="shared" si="7"/>
        <v>50.599999999999994</v>
      </c>
      <c r="I55" s="48">
        <f t="shared" si="5"/>
        <v>786.3</v>
      </c>
    </row>
    <row r="56" spans="1:9" ht="18.75" thickBot="1">
      <c r="A56" s="26" t="s">
        <v>34</v>
      </c>
      <c r="B56" s="47">
        <f>B51-B52-B55-B54-B53</f>
        <v>691.2000000000002</v>
      </c>
      <c r="C56" s="47">
        <f>C51-C52-C55-C54-C53</f>
        <v>4514.9</v>
      </c>
      <c r="D56" s="47">
        <f>D51-D52-D55-D54-D53</f>
        <v>268.0000000000003</v>
      </c>
      <c r="E56" s="1">
        <f>D56/D51*100</f>
        <v>14.242440346495203</v>
      </c>
      <c r="F56" s="1">
        <f t="shared" si="6"/>
        <v>38.77314814814818</v>
      </c>
      <c r="G56" s="1">
        <f t="shared" si="4"/>
        <v>5.935901127378243</v>
      </c>
      <c r="H56" s="48">
        <f t="shared" si="7"/>
        <v>423.1999999999999</v>
      </c>
      <c r="I56" s="48">
        <f>C56-D56</f>
        <v>4246.9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364.4</v>
      </c>
      <c r="C58" s="50">
        <v>5881.8</v>
      </c>
      <c r="D58" s="51">
        <f>43.5+4.7+72.8+47.2+46+5+62.5</f>
        <v>281.7</v>
      </c>
      <c r="E58" s="3">
        <f>D58/D149*100</f>
        <v>0.18982505367257907</v>
      </c>
      <c r="F58" s="3">
        <f>D58/B58*100</f>
        <v>77.30515916575193</v>
      </c>
      <c r="G58" s="3">
        <f t="shared" si="4"/>
        <v>4.789350198918698</v>
      </c>
      <c r="H58" s="51">
        <f>B58-D58</f>
        <v>82.69999999999999</v>
      </c>
      <c r="I58" s="51">
        <f t="shared" si="5"/>
        <v>5600.1</v>
      </c>
    </row>
    <row r="59" spans="1:9" ht="18">
      <c r="A59" s="26" t="s">
        <v>3</v>
      </c>
      <c r="B59" s="46">
        <v>231.4</v>
      </c>
      <c r="C59" s="47">
        <v>1508.2</v>
      </c>
      <c r="D59" s="48">
        <f>43.5+72.8+47.2+62.5</f>
        <v>226</v>
      </c>
      <c r="E59" s="1">
        <f>D59/D58*100</f>
        <v>80.22719204827831</v>
      </c>
      <c r="F59" s="1">
        <f t="shared" si="6"/>
        <v>97.66637856525496</v>
      </c>
      <c r="G59" s="1">
        <f t="shared" si="4"/>
        <v>14.984750033152103</v>
      </c>
      <c r="H59" s="48">
        <f t="shared" si="7"/>
        <v>5.400000000000006</v>
      </c>
      <c r="I59" s="48">
        <f t="shared" si="5"/>
        <v>1282.2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118.1</v>
      </c>
      <c r="C61" s="47">
        <v>627.5</v>
      </c>
      <c r="D61" s="48">
        <f>4.7+45.7+4.9</f>
        <v>55.300000000000004</v>
      </c>
      <c r="E61" s="1">
        <f>D61/D58*100</f>
        <v>19.63081292154775</v>
      </c>
      <c r="F61" s="1">
        <f t="shared" si="6"/>
        <v>46.82472480948349</v>
      </c>
      <c r="G61" s="1">
        <f t="shared" si="4"/>
        <v>8.812749003984065</v>
      </c>
      <c r="H61" s="48">
        <f t="shared" si="7"/>
        <v>62.79999999999999</v>
      </c>
      <c r="I61" s="48">
        <f t="shared" si="5"/>
        <v>572.2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14.899999999999977</v>
      </c>
      <c r="C63" s="47">
        <f>C58-C59-C61-C62-C60</f>
        <v>198.10000000000053</v>
      </c>
      <c r="D63" s="47">
        <f>D58-D59-D61-D62-D60</f>
        <v>0.39999999999998437</v>
      </c>
      <c r="E63" s="1">
        <f>D63/D58*100</f>
        <v>0.14199503017393836</v>
      </c>
      <c r="F63" s="1">
        <f t="shared" si="6"/>
        <v>2.684563758389161</v>
      </c>
      <c r="G63" s="1">
        <f t="shared" si="4"/>
        <v>0.20191822311962812</v>
      </c>
      <c r="H63" s="48">
        <f t="shared" si="7"/>
        <v>14.499999999999993</v>
      </c>
      <c r="I63" s="48">
        <f t="shared" si="5"/>
        <v>197.70000000000056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89</v>
      </c>
      <c r="C68" s="50">
        <f>C69+C70</f>
        <v>424.4</v>
      </c>
      <c r="D68" s="51">
        <f>SUM(D69:D70)</f>
        <v>7.9</v>
      </c>
      <c r="E68" s="39">
        <f>D68/D149*100</f>
        <v>0.005323457309241658</v>
      </c>
      <c r="F68" s="3">
        <f>D68/B68*100</f>
        <v>8.876404494382022</v>
      </c>
      <c r="G68" s="3">
        <f t="shared" si="4"/>
        <v>1.861451460885957</v>
      </c>
      <c r="H68" s="51">
        <f>B68-D68</f>
        <v>81.1</v>
      </c>
      <c r="I68" s="51">
        <f t="shared" si="5"/>
        <v>416.5</v>
      </c>
    </row>
    <row r="69" spans="1:9" ht="18.75" hidden="1" thickBot="1">
      <c r="A69" s="26" t="s">
        <v>8</v>
      </c>
      <c r="B69" s="46">
        <v>89</v>
      </c>
      <c r="C69" s="47">
        <v>424.4</v>
      </c>
      <c r="D69" s="48">
        <f>3.9+1+3</f>
        <v>7.9</v>
      </c>
      <c r="E69" s="1">
        <f>D69/D68*100</f>
        <v>100</v>
      </c>
      <c r="F69" s="1">
        <f t="shared" si="6"/>
        <v>8.876404494382022</v>
      </c>
      <c r="G69" s="1">
        <f t="shared" si="4"/>
        <v>1.861451460885957</v>
      </c>
      <c r="H69" s="48">
        <f t="shared" si="7"/>
        <v>81.1</v>
      </c>
      <c r="I69" s="48">
        <f t="shared" si="5"/>
        <v>416.5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1666.7</v>
      </c>
      <c r="C76" s="66"/>
      <c r="D76" s="67"/>
      <c r="E76" s="45"/>
      <c r="F76" s="45"/>
      <c r="G76" s="45"/>
      <c r="H76" s="67">
        <f>B76-D76</f>
        <v>1666.7</v>
      </c>
      <c r="I76" s="67">
        <f t="shared" si="5"/>
        <v>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8365.9</v>
      </c>
      <c r="C89" s="50">
        <v>50201.5</v>
      </c>
      <c r="D89" s="51">
        <f>504.1+603.6+0.4+13.4+0.4+2.2+9.9+1.1+305.4+663.4+712.7+3.4+59.2+17.1+69.2+0.3+0.1+65+384.8+526.3+246.2+20.6+24.1+37.5+50.9+14.3+10.2+5.2+1502.8</f>
        <v>5853.8</v>
      </c>
      <c r="E89" s="3">
        <f>D89/D149*100</f>
        <v>3.944614480612508</v>
      </c>
      <c r="F89" s="3">
        <f aca="true" t="shared" si="10" ref="F89:F95">D89/B89*100</f>
        <v>69.9721488423242</v>
      </c>
      <c r="G89" s="3">
        <f t="shared" si="8"/>
        <v>11.66060775076442</v>
      </c>
      <c r="H89" s="51">
        <f aca="true" t="shared" si="11" ref="H89:H95">B89-D89</f>
        <v>2512.0999999999995</v>
      </c>
      <c r="I89" s="51">
        <f t="shared" si="9"/>
        <v>44347.7</v>
      </c>
    </row>
    <row r="90" spans="1:9" ht="18">
      <c r="A90" s="26" t="s">
        <v>3</v>
      </c>
      <c r="B90" s="46">
        <v>7061</v>
      </c>
      <c r="C90" s="47">
        <v>41785.6</v>
      </c>
      <c r="D90" s="48">
        <f>504.1+600.9+12.5+0.1+294.4+657+710.4+56.2+67.4+61.4+375.5+513+243.5+0.3+0.2+0.2+1502.8</f>
        <v>5599.9</v>
      </c>
      <c r="E90" s="1">
        <f>D90/D89*100</f>
        <v>95.66264648604324</v>
      </c>
      <c r="F90" s="1">
        <f t="shared" si="10"/>
        <v>79.3074635320776</v>
      </c>
      <c r="G90" s="1">
        <f t="shared" si="8"/>
        <v>13.401506739163729</v>
      </c>
      <c r="H90" s="48">
        <f t="shared" si="11"/>
        <v>1461.1000000000004</v>
      </c>
      <c r="I90" s="48">
        <f t="shared" si="9"/>
        <v>36185.7</v>
      </c>
    </row>
    <row r="91" spans="1:9" ht="18">
      <c r="A91" s="26" t="s">
        <v>32</v>
      </c>
      <c r="B91" s="46">
        <v>550.6</v>
      </c>
      <c r="C91" s="47">
        <v>2476</v>
      </c>
      <c r="D91" s="48">
        <f>9.8</f>
        <v>9.8</v>
      </c>
      <c r="E91" s="1">
        <f>D91/D89*100</f>
        <v>0.16741262086166253</v>
      </c>
      <c r="F91" s="1">
        <f t="shared" si="10"/>
        <v>1.7798764983654194</v>
      </c>
      <c r="G91" s="1">
        <f t="shared" si="8"/>
        <v>0.39579967689822293</v>
      </c>
      <c r="H91" s="48">
        <f t="shared" si="11"/>
        <v>540.8000000000001</v>
      </c>
      <c r="I91" s="48">
        <f t="shared" si="9"/>
        <v>2466.2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754.2999999999996</v>
      </c>
      <c r="C93" s="47">
        <f>C89-C90-C91-C92</f>
        <v>5939.9000000000015</v>
      </c>
      <c r="D93" s="47">
        <f>D89-D90-D91-D92</f>
        <v>244.10000000000053</v>
      </c>
      <c r="E93" s="1">
        <f>D93/D89*100</f>
        <v>4.1699408930950925</v>
      </c>
      <c r="F93" s="1">
        <f t="shared" si="10"/>
        <v>32.36112952406213</v>
      </c>
      <c r="G93" s="1">
        <f>D93/C93*100</f>
        <v>4.1094967928753094</v>
      </c>
      <c r="H93" s="48">
        <f t="shared" si="11"/>
        <v>510.1999999999991</v>
      </c>
      <c r="I93" s="48">
        <f>C93-D93</f>
        <v>5695.800000000001</v>
      </c>
    </row>
    <row r="94" spans="1:9" ht="18.75">
      <c r="A94" s="116" t="s">
        <v>12</v>
      </c>
      <c r="B94" s="119">
        <v>12975.8</v>
      </c>
      <c r="C94" s="121">
        <v>63500.4</v>
      </c>
      <c r="D94" s="120">
        <f>3050.1+485.9+95+377.6+203.9+57.3+702.6+368.5+68.4+157.9+4015.3+212.6+788.4+894.3+61.1</f>
        <v>11538.9</v>
      </c>
      <c r="E94" s="115">
        <f>D94/D149*100</f>
        <v>7.775549562735259</v>
      </c>
      <c r="F94" s="118">
        <f t="shared" si="10"/>
        <v>88.92630897516916</v>
      </c>
      <c r="G94" s="114">
        <f>D94/C94*100</f>
        <v>18.171381597596234</v>
      </c>
      <c r="H94" s="120">
        <f t="shared" si="11"/>
        <v>1436.8999999999996</v>
      </c>
      <c r="I94" s="130">
        <f>C94-D94</f>
        <v>51961.5</v>
      </c>
    </row>
    <row r="95" spans="1:9" ht="18.75" thickBot="1">
      <c r="A95" s="117" t="s">
        <v>103</v>
      </c>
      <c r="B95" s="122">
        <v>876.7</v>
      </c>
      <c r="C95" s="123">
        <v>5343.5</v>
      </c>
      <c r="D95" s="124">
        <f>57.3+368.5+61.1</f>
        <v>486.90000000000003</v>
      </c>
      <c r="E95" s="125">
        <f>D95/D94*100</f>
        <v>4.21963965369316</v>
      </c>
      <c r="F95" s="126">
        <f t="shared" si="10"/>
        <v>55.53781225048478</v>
      </c>
      <c r="G95" s="127">
        <f>D95/C95*100</f>
        <v>9.11200524001123</v>
      </c>
      <c r="H95" s="131">
        <f t="shared" si="11"/>
        <v>389.8</v>
      </c>
      <c r="I95" s="132">
        <f>C95-D95</f>
        <v>4856.6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1442.6</v>
      </c>
      <c r="C101" s="100">
        <v>10703.3</v>
      </c>
      <c r="D101" s="87">
        <f>40+388.7+47.5+2+10.9+26+40+10.7+4.9+126.7</f>
        <v>697.4</v>
      </c>
      <c r="E101" s="22">
        <f>D101/D149*100</f>
        <v>0.4699467249955863</v>
      </c>
      <c r="F101" s="22">
        <f>D101/B101*100</f>
        <v>48.343269097462915</v>
      </c>
      <c r="G101" s="22">
        <f aca="true" t="shared" si="12" ref="G101:G147">D101/C101*100</f>
        <v>6.515747479749237</v>
      </c>
      <c r="H101" s="87">
        <f aca="true" t="shared" si="13" ref="H101:H106">B101-D101</f>
        <v>745.1999999999999</v>
      </c>
      <c r="I101" s="87">
        <f aca="true" t="shared" si="14" ref="I101:I147">C101-D101</f>
        <v>10005.9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1310.1</v>
      </c>
      <c r="C103" s="48">
        <v>8863.3</v>
      </c>
      <c r="D103" s="48">
        <f>39.8+388.5+20.6+2+26+40+4.1+126.5</f>
        <v>647.5000000000001</v>
      </c>
      <c r="E103" s="1">
        <f>D103/D101*100</f>
        <v>92.84485230857472</v>
      </c>
      <c r="F103" s="1">
        <f aca="true" t="shared" si="15" ref="F103:F147">D103/B103*100</f>
        <v>49.423708113884445</v>
      </c>
      <c r="G103" s="1">
        <f t="shared" si="12"/>
        <v>7.305405435898595</v>
      </c>
      <c r="H103" s="48">
        <f t="shared" si="13"/>
        <v>662.5999999999998</v>
      </c>
      <c r="I103" s="48">
        <f t="shared" si="14"/>
        <v>8215.8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132.5</v>
      </c>
      <c r="C105" s="96">
        <f>C101-C102-C103</f>
        <v>1652.3999999999996</v>
      </c>
      <c r="D105" s="96">
        <f>D101-D102-D103</f>
        <v>49.899999999999864</v>
      </c>
      <c r="E105" s="92">
        <f>D105/D101*100</f>
        <v>7.155147691425275</v>
      </c>
      <c r="F105" s="92">
        <f t="shared" si="15"/>
        <v>37.660377358490464</v>
      </c>
      <c r="G105" s="92">
        <f t="shared" si="12"/>
        <v>3.0198499152747442</v>
      </c>
      <c r="H105" s="132">
        <f>B105-D105</f>
        <v>82.60000000000014</v>
      </c>
      <c r="I105" s="132">
        <f t="shared" si="14"/>
        <v>1602.4999999999998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40104.8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37055.99999999999</v>
      </c>
      <c r="E106" s="90">
        <f>D106/D149*100</f>
        <v>24.970384057121368</v>
      </c>
      <c r="F106" s="90">
        <f>D106/B106*100</f>
        <v>92.39791745626457</v>
      </c>
      <c r="G106" s="90">
        <f t="shared" si="12"/>
        <v>10.156900763823277</v>
      </c>
      <c r="H106" s="89">
        <f t="shared" si="13"/>
        <v>3048.80000000001</v>
      </c>
      <c r="I106" s="89">
        <f t="shared" si="14"/>
        <v>327779.69999999995</v>
      </c>
    </row>
    <row r="107" spans="1:9" ht="37.5">
      <c r="A107" s="31" t="s">
        <v>66</v>
      </c>
      <c r="B107" s="75">
        <v>302.2</v>
      </c>
      <c r="C107" s="71">
        <v>2166.2</v>
      </c>
      <c r="D107" s="76">
        <f>142.7+0.9</f>
        <v>143.6</v>
      </c>
      <c r="E107" s="6">
        <f>D107/D106*100</f>
        <v>0.3875215889464595</v>
      </c>
      <c r="F107" s="6">
        <f t="shared" si="15"/>
        <v>47.51819986763733</v>
      </c>
      <c r="G107" s="6">
        <f t="shared" si="12"/>
        <v>6.6291201181793005</v>
      </c>
      <c r="H107" s="65">
        <f aca="true" t="shared" si="16" ref="H107:H147">B107-D107</f>
        <v>158.6</v>
      </c>
      <c r="I107" s="65">
        <f t="shared" si="14"/>
        <v>2022.6</v>
      </c>
    </row>
    <row r="108" spans="1:9" ht="18">
      <c r="A108" s="26" t="s">
        <v>32</v>
      </c>
      <c r="B108" s="78">
        <v>143.7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99.93041057759221</v>
      </c>
      <c r="G108" s="1">
        <f t="shared" si="12"/>
        <v>11.833539348990522</v>
      </c>
      <c r="H108" s="48">
        <f t="shared" si="16"/>
        <v>0.09999999999999432</v>
      </c>
      <c r="I108" s="48">
        <f t="shared" si="14"/>
        <v>1069.9</v>
      </c>
    </row>
    <row r="109" spans="1:9" ht="34.5" customHeight="1">
      <c r="A109" s="16" t="s">
        <v>98</v>
      </c>
      <c r="B109" s="77">
        <v>46.7</v>
      </c>
      <c r="C109" s="65">
        <v>778.3</v>
      </c>
      <c r="D109" s="76">
        <f>26.5+20.2</f>
        <v>46.7</v>
      </c>
      <c r="E109" s="6">
        <f>D109/D106*100</f>
        <v>0.12602547495682215</v>
      </c>
      <c r="F109" s="6">
        <f>D109/B109*100</f>
        <v>100</v>
      </c>
      <c r="G109" s="6">
        <f t="shared" si="12"/>
        <v>6.000256970319929</v>
      </c>
      <c r="H109" s="65">
        <f t="shared" si="16"/>
        <v>0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121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294.1</v>
      </c>
      <c r="C113" s="65">
        <v>1795.8</v>
      </c>
      <c r="D113" s="76">
        <f>82.2+4.4+0.2+16.8</f>
        <v>103.60000000000001</v>
      </c>
      <c r="E113" s="6">
        <f>D113/D106*100</f>
        <v>0.2795768566493956</v>
      </c>
      <c r="F113" s="6">
        <f t="shared" si="15"/>
        <v>35.22611356681401</v>
      </c>
      <c r="G113" s="6">
        <f t="shared" si="12"/>
        <v>5.7690165942755325</v>
      </c>
      <c r="H113" s="65">
        <f t="shared" si="16"/>
        <v>190.5</v>
      </c>
      <c r="I113" s="65">
        <f t="shared" si="14"/>
        <v>1692.2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40.5</v>
      </c>
      <c r="C117" s="57">
        <v>229.6</v>
      </c>
      <c r="D117" s="76">
        <f>17.1-0.3+0.8+0.3</f>
        <v>17.900000000000002</v>
      </c>
      <c r="E117" s="6">
        <f>D117/D106*100</f>
        <v>0.04830526770293611</v>
      </c>
      <c r="F117" s="6">
        <f t="shared" si="15"/>
        <v>44.19753086419754</v>
      </c>
      <c r="G117" s="6">
        <f t="shared" si="12"/>
        <v>7.7961672473867605</v>
      </c>
      <c r="H117" s="65">
        <f t="shared" si="16"/>
        <v>22.599999999999998</v>
      </c>
      <c r="I117" s="65">
        <f t="shared" si="14"/>
        <v>211.7</v>
      </c>
    </row>
    <row r="118" spans="1:9" s="36" customFormat="1" ht="18">
      <c r="A118" s="37" t="s">
        <v>53</v>
      </c>
      <c r="B118" s="78">
        <v>33.6</v>
      </c>
      <c r="C118" s="48">
        <v>170.2</v>
      </c>
      <c r="D118" s="79">
        <f>17.1-0.3</f>
        <v>16.8</v>
      </c>
      <c r="E118" s="1">
        <f>D118/D117*100</f>
        <v>93.85474860335195</v>
      </c>
      <c r="F118" s="1">
        <f t="shared" si="15"/>
        <v>50</v>
      </c>
      <c r="G118" s="1">
        <f t="shared" si="12"/>
        <v>9.870740305522915</v>
      </c>
      <c r="H118" s="48">
        <f t="shared" si="16"/>
        <v>16.8</v>
      </c>
      <c r="I118" s="48">
        <f t="shared" si="14"/>
        <v>153.39999999999998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91.1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91.1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3794.5</v>
      </c>
      <c r="C123" s="57">
        <v>5096.9</v>
      </c>
      <c r="D123" s="80">
        <f>3776</f>
        <v>3776</v>
      </c>
      <c r="E123" s="17">
        <f>D123/D106*100</f>
        <v>10.189982728842836</v>
      </c>
      <c r="F123" s="6">
        <f t="shared" si="15"/>
        <v>99.51245223349585</v>
      </c>
      <c r="G123" s="6">
        <f t="shared" si="12"/>
        <v>74.08424728756697</v>
      </c>
      <c r="H123" s="65">
        <f t="shared" si="16"/>
        <v>18.5</v>
      </c>
      <c r="I123" s="65">
        <f t="shared" si="14"/>
        <v>1320.8999999999996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31.7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31.7</v>
      </c>
      <c r="I126" s="65">
        <f t="shared" si="14"/>
        <v>95.1</v>
      </c>
    </row>
    <row r="127" spans="1:9" s="2" customFormat="1" ht="37.5">
      <c r="A127" s="16" t="s">
        <v>76</v>
      </c>
      <c r="B127" s="77">
        <v>94.9</v>
      </c>
      <c r="C127" s="57">
        <v>983</v>
      </c>
      <c r="D127" s="80">
        <f>2.8+14.4</f>
        <v>17.2</v>
      </c>
      <c r="E127" s="17">
        <f>D127/D106*100</f>
        <v>0.04641623488773749</v>
      </c>
      <c r="F127" s="6">
        <f t="shared" si="15"/>
        <v>18.124341412012644</v>
      </c>
      <c r="G127" s="6">
        <f t="shared" si="12"/>
        <v>1.7497456765005086</v>
      </c>
      <c r="H127" s="65">
        <f t="shared" si="16"/>
        <v>77.7</v>
      </c>
      <c r="I127" s="65">
        <f t="shared" si="14"/>
        <v>965.8</v>
      </c>
    </row>
    <row r="128" spans="1:9" s="36" customFormat="1" ht="18">
      <c r="A128" s="26" t="s">
        <v>114</v>
      </c>
      <c r="B128" s="78">
        <v>80</v>
      </c>
      <c r="C128" s="48">
        <v>851.8</v>
      </c>
      <c r="D128" s="79">
        <f>2.8</f>
        <v>2.8</v>
      </c>
      <c r="E128" s="1">
        <f>D128/D127*100</f>
        <v>16.279069767441857</v>
      </c>
      <c r="F128" s="1">
        <f>D128/B128*100</f>
        <v>3.4999999999999996</v>
      </c>
      <c r="G128" s="1">
        <f t="shared" si="12"/>
        <v>0.3287156609532754</v>
      </c>
      <c r="H128" s="48">
        <f t="shared" si="16"/>
        <v>77.2</v>
      </c>
      <c r="I128" s="48">
        <f t="shared" si="14"/>
        <v>849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21.5</v>
      </c>
      <c r="C131" s="57">
        <v>64.1</v>
      </c>
      <c r="D131" s="80">
        <f>0.8</f>
        <v>0.8</v>
      </c>
      <c r="E131" s="17">
        <f>D131/D106*100</f>
        <v>0.0021588946459412785</v>
      </c>
      <c r="F131" s="6">
        <f t="shared" si="15"/>
        <v>3.7209302325581395</v>
      </c>
      <c r="G131" s="6">
        <f t="shared" si="12"/>
        <v>1.2480499219968801</v>
      </c>
      <c r="H131" s="65">
        <f t="shared" si="16"/>
        <v>20.7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59.2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59.2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85.3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85.3</v>
      </c>
      <c r="I135" s="65">
        <f t="shared" si="14"/>
        <v>363.7</v>
      </c>
    </row>
    <row r="136" spans="1:9" s="36" customFormat="1" ht="18">
      <c r="A136" s="26" t="s">
        <v>32</v>
      </c>
      <c r="B136" s="78">
        <v>62.1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62.1</v>
      </c>
      <c r="I136" s="48">
        <f t="shared" si="14"/>
        <v>218.8</v>
      </c>
    </row>
    <row r="137" spans="1:9" s="2" customFormat="1" ht="18.75">
      <c r="A137" s="16" t="s">
        <v>31</v>
      </c>
      <c r="B137" s="77">
        <v>184.4</v>
      </c>
      <c r="C137" s="57">
        <v>1160.2</v>
      </c>
      <c r="D137" s="80">
        <f>26.5+42.3+30.1+3.6+8.6</f>
        <v>111.1</v>
      </c>
      <c r="E137" s="17">
        <f>D137/D106*100</f>
        <v>0.299816493955095</v>
      </c>
      <c r="F137" s="6">
        <f t="shared" si="15"/>
        <v>60.24945770065075</v>
      </c>
      <c r="G137" s="6">
        <f t="shared" si="12"/>
        <v>9.575935183589035</v>
      </c>
      <c r="H137" s="65">
        <f t="shared" si="16"/>
        <v>73.30000000000001</v>
      </c>
      <c r="I137" s="65">
        <f t="shared" si="14"/>
        <v>1049.1000000000001</v>
      </c>
    </row>
    <row r="138" spans="1:9" s="36" customFormat="1" ht="18">
      <c r="A138" s="37" t="s">
        <v>53</v>
      </c>
      <c r="B138" s="78">
        <v>139.2</v>
      </c>
      <c r="C138" s="48">
        <v>886.2</v>
      </c>
      <c r="D138" s="79">
        <f>26.5+39.8+30.1</f>
        <v>96.4</v>
      </c>
      <c r="E138" s="1">
        <f>D138/D137*100</f>
        <v>86.76867686768678</v>
      </c>
      <c r="F138" s="1">
        <f aca="true" t="shared" si="17" ref="F138:F146">D138/B138*100</f>
        <v>69.2528735632184</v>
      </c>
      <c r="G138" s="1">
        <f t="shared" si="12"/>
        <v>10.877905664635524</v>
      </c>
      <c r="H138" s="48">
        <f t="shared" si="16"/>
        <v>42.79999999999998</v>
      </c>
      <c r="I138" s="48">
        <f t="shared" si="14"/>
        <v>789.8000000000001</v>
      </c>
    </row>
    <row r="139" spans="1:9" s="36" customFormat="1" ht="18">
      <c r="A139" s="26" t="s">
        <v>32</v>
      </c>
      <c r="B139" s="78">
        <v>15.3</v>
      </c>
      <c r="C139" s="48">
        <v>39.3</v>
      </c>
      <c r="D139" s="79">
        <f>8.6</f>
        <v>8.6</v>
      </c>
      <c r="E139" s="1">
        <f>D139/D137*100</f>
        <v>7.74077407740774</v>
      </c>
      <c r="F139" s="1">
        <f t="shared" si="17"/>
        <v>56.209150326797385</v>
      </c>
      <c r="G139" s="1">
        <f>D139/C139*100</f>
        <v>21.882951653944023</v>
      </c>
      <c r="H139" s="48">
        <f t="shared" si="16"/>
        <v>6.700000000000001</v>
      </c>
      <c r="I139" s="48">
        <f t="shared" si="14"/>
        <v>30.699999999999996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1412.8</v>
      </c>
      <c r="C142" s="57">
        <v>16744</v>
      </c>
      <c r="D142" s="80">
        <f>112.8+55.6</f>
        <v>168.4</v>
      </c>
      <c r="E142" s="17">
        <f>D142/D106*100</f>
        <v>0.4544473229706391</v>
      </c>
      <c r="F142" s="107">
        <f t="shared" si="17"/>
        <v>11.919592298980747</v>
      </c>
      <c r="G142" s="6">
        <f t="shared" si="12"/>
        <v>1.005733397037745</v>
      </c>
      <c r="H142" s="65">
        <f t="shared" si="16"/>
        <v>1244.3999999999999</v>
      </c>
      <c r="I142" s="65">
        <f t="shared" si="14"/>
        <v>16575.6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2094</v>
      </c>
      <c r="C144" s="57">
        <v>6504.8</v>
      </c>
      <c r="D144" s="80">
        <f>2094</f>
        <v>2094</v>
      </c>
      <c r="E144" s="17">
        <f>D144/D106*100</f>
        <v>5.650906735751296</v>
      </c>
      <c r="F144" s="107">
        <f t="shared" si="17"/>
        <v>100</v>
      </c>
      <c r="G144" s="6">
        <f t="shared" si="12"/>
        <v>32.1916123478047</v>
      </c>
      <c r="H144" s="65">
        <f t="shared" si="16"/>
        <v>0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169.6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169.6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26548.7</v>
      </c>
      <c r="C146" s="57">
        <v>298394.8</v>
      </c>
      <c r="D146" s="80">
        <f>26548.7</f>
        <v>26548.7</v>
      </c>
      <c r="E146" s="17">
        <f>D146/D106*100</f>
        <v>71.64480785837652</v>
      </c>
      <c r="F146" s="6">
        <f t="shared" si="17"/>
        <v>100</v>
      </c>
      <c r="G146" s="6">
        <f t="shared" si="12"/>
        <v>8.897172470833944</v>
      </c>
      <c r="H146" s="65">
        <f t="shared" si="16"/>
        <v>0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4833.6</v>
      </c>
      <c r="C147" s="57">
        <v>29001.6</v>
      </c>
      <c r="D147" s="80">
        <f>805.6+805.6+805.6+805.6+805.6</f>
        <v>4028</v>
      </c>
      <c r="E147" s="17">
        <f>D147/D106*100</f>
        <v>10.870034542314338</v>
      </c>
      <c r="F147" s="6">
        <f t="shared" si="15"/>
        <v>83.33333333333333</v>
      </c>
      <c r="G147" s="6">
        <f t="shared" si="12"/>
        <v>13.88888888888889</v>
      </c>
      <c r="H147" s="65">
        <f t="shared" si="16"/>
        <v>805.6000000000004</v>
      </c>
      <c r="I147" s="65">
        <f t="shared" si="14"/>
        <v>24973.6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43441.3</v>
      </c>
      <c r="C148" s="81">
        <f>C43+C68+C71+C76+C78+C86+C101+C106+C99+C83+C97</f>
        <v>376792.89999999997</v>
      </c>
      <c r="D148" s="57">
        <f>D43+D68+D71+D76+D78+D86+D101+D106+D99+D83+D97</f>
        <v>37786.49999999999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190326.59999999998</v>
      </c>
      <c r="C149" s="51">
        <f>C6+C18+C33+C43+C51+C58+C68+C71+C76+C78+C86+C89+C94+C101+C106+C99+C83+C97+C45</f>
        <v>1247667.2000000002</v>
      </c>
      <c r="D149" s="51">
        <f>D6+D18+D33+D43+D51+D58+D68+D71+D76+D78+D86+D89+D94+D101+D106+D99+D83+D97+D45</f>
        <v>148399.8</v>
      </c>
      <c r="E149" s="35">
        <v>100</v>
      </c>
      <c r="F149" s="3">
        <f>D149/B149*100</f>
        <v>77.97112962665229</v>
      </c>
      <c r="G149" s="3">
        <f aca="true" t="shared" si="18" ref="G149:G155">D149/C149*100</f>
        <v>11.894181397090502</v>
      </c>
      <c r="H149" s="51">
        <f aca="true" t="shared" si="19" ref="H149:H155">B149-D149</f>
        <v>41926.79999999999</v>
      </c>
      <c r="I149" s="51">
        <f aca="true" t="shared" si="20" ref="I149:I155">C149-D149</f>
        <v>1099267.4000000001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91765.09999999999</v>
      </c>
      <c r="C150" s="64">
        <f>C8+C20+C34+C52+C59+C90+C114+C118+C46+C138+C130+C102</f>
        <v>581359.5999999997</v>
      </c>
      <c r="D150" s="64">
        <f>D8+D20+D34+D52+D59+D90+D114+D118+D46+D138+D130+D102</f>
        <v>77680.09999999999</v>
      </c>
      <c r="E150" s="6">
        <f>D150/D149*100</f>
        <v>52.34515140855985</v>
      </c>
      <c r="F150" s="6">
        <f aca="true" t="shared" si="21" ref="F150:F161">D150/B150*100</f>
        <v>84.65102746033078</v>
      </c>
      <c r="G150" s="6">
        <f t="shared" si="18"/>
        <v>13.361798790284022</v>
      </c>
      <c r="H150" s="65">
        <f t="shared" si="19"/>
        <v>14085</v>
      </c>
      <c r="I150" s="76">
        <f t="shared" si="20"/>
        <v>503679.49999999977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26317.599999999995</v>
      </c>
      <c r="C151" s="65">
        <f>C11+C23+C36+C55+C61+C91+C49+C139+C108+C111+C95+C136</f>
        <v>114263.80000000002</v>
      </c>
      <c r="D151" s="65">
        <f>D11+D23+D36+D55+D61+D91+D49+D139+D108+D111+D95+D136</f>
        <v>14361.399999999998</v>
      </c>
      <c r="E151" s="6">
        <f>D151/D149*100</f>
        <v>9.677506303916852</v>
      </c>
      <c r="F151" s="6">
        <f t="shared" si="21"/>
        <v>54.569565613885764</v>
      </c>
      <c r="G151" s="6">
        <f t="shared" si="18"/>
        <v>12.568635035768105</v>
      </c>
      <c r="H151" s="65">
        <f t="shared" si="19"/>
        <v>11956.199999999997</v>
      </c>
      <c r="I151" s="76">
        <f t="shared" si="20"/>
        <v>99902.40000000002</v>
      </c>
      <c r="K151" s="43"/>
      <c r="L151" s="98"/>
    </row>
    <row r="152" spans="1:12" ht="18.75">
      <c r="A152" s="20" t="s">
        <v>1</v>
      </c>
      <c r="B152" s="64">
        <f>B22+B10+B54+B48+B60+B35+B122</f>
        <v>6175.7</v>
      </c>
      <c r="C152" s="64">
        <f>C22+C10+C54+C48+C60+C35+C122</f>
        <v>32660.300000000003</v>
      </c>
      <c r="D152" s="64">
        <f>D22+D10+D54+D48+D60+D35+D122</f>
        <v>1828.5999999999997</v>
      </c>
      <c r="E152" s="6">
        <f>D152/D149*100</f>
        <v>1.2322119032505434</v>
      </c>
      <c r="F152" s="6">
        <f t="shared" si="21"/>
        <v>29.60959891186424</v>
      </c>
      <c r="G152" s="6">
        <f t="shared" si="18"/>
        <v>5.59884630575959</v>
      </c>
      <c r="H152" s="65">
        <f t="shared" si="19"/>
        <v>4347.1</v>
      </c>
      <c r="I152" s="76">
        <f t="shared" si="20"/>
        <v>30831.700000000004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4221.3</v>
      </c>
      <c r="C153" s="64">
        <f>C12+C24+C103+C62+C38+C92+C128</f>
        <v>29295.7</v>
      </c>
      <c r="D153" s="64">
        <f>D12+D24+D103+D62+D38+D92+D128</f>
        <v>2787</v>
      </c>
      <c r="E153" s="6">
        <f>D153/D149*100</f>
        <v>1.8780348760577845</v>
      </c>
      <c r="F153" s="6">
        <f t="shared" si="21"/>
        <v>66.02231540046904</v>
      </c>
      <c r="G153" s="6">
        <f t="shared" si="18"/>
        <v>9.513341548418367</v>
      </c>
      <c r="H153" s="65">
        <f t="shared" si="19"/>
        <v>1434.3000000000002</v>
      </c>
      <c r="I153" s="76">
        <f t="shared" si="20"/>
        <v>26508.7</v>
      </c>
      <c r="K153" s="43"/>
      <c r="L153" s="98"/>
    </row>
    <row r="154" spans="1:12" ht="18.75">
      <c r="A154" s="20" t="s">
        <v>2</v>
      </c>
      <c r="B154" s="64">
        <f>B9+B21+B47+B53+B121</f>
        <v>2148.1</v>
      </c>
      <c r="C154" s="64">
        <f>C9+C21+C47+C53+C121</f>
        <v>20553.1</v>
      </c>
      <c r="D154" s="64">
        <f>D9+D21+D47+D53+D121</f>
        <v>1493.8</v>
      </c>
      <c r="E154" s="6">
        <f>D154/D149*100</f>
        <v>1.0066051301955934</v>
      </c>
      <c r="F154" s="6">
        <f t="shared" si="21"/>
        <v>69.54052418416275</v>
      </c>
      <c r="G154" s="6">
        <f t="shared" si="18"/>
        <v>7.268003366888694</v>
      </c>
      <c r="H154" s="65">
        <f t="shared" si="19"/>
        <v>654.3</v>
      </c>
      <c r="I154" s="76">
        <f t="shared" si="20"/>
        <v>19059.3</v>
      </c>
      <c r="K154" s="43"/>
      <c r="L154" s="44"/>
    </row>
    <row r="155" spans="1:12" ht="19.5" thickBot="1">
      <c r="A155" s="20" t="s">
        <v>34</v>
      </c>
      <c r="B155" s="64">
        <f>B149-B150-B151-B152-B153-B154</f>
        <v>59698.799999999996</v>
      </c>
      <c r="C155" s="64">
        <f>C149-C150-C151-C152-C153-C154</f>
        <v>469534.7000000004</v>
      </c>
      <c r="D155" s="64">
        <f>D149-D150-D151-D152-D153-D154</f>
        <v>50248.9</v>
      </c>
      <c r="E155" s="6">
        <f>D155/D149*100</f>
        <v>33.86049037801938</v>
      </c>
      <c r="F155" s="6">
        <f t="shared" si="21"/>
        <v>84.17070359873232</v>
      </c>
      <c r="G155" s="40">
        <f t="shared" si="18"/>
        <v>10.701850150798217</v>
      </c>
      <c r="H155" s="65">
        <f t="shared" si="19"/>
        <v>9449.899999999994</v>
      </c>
      <c r="I155" s="65">
        <f t="shared" si="20"/>
        <v>419285.8000000004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899.6</v>
      </c>
      <c r="C157" s="70">
        <v>11264.2</v>
      </c>
      <c r="D157" s="70">
        <f>33</f>
        <v>33</v>
      </c>
      <c r="E157" s="14"/>
      <c r="F157" s="6">
        <f t="shared" si="21"/>
        <v>3.6682970208981773</v>
      </c>
      <c r="G157" s="6">
        <f aca="true" t="shared" si="22" ref="G157:G166">D157/C157*100</f>
        <v>0.29296354823245324</v>
      </c>
      <c r="H157" s="6">
        <f>B157-D157</f>
        <v>866.6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2834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2834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2004.9</v>
      </c>
      <c r="C161" s="64">
        <v>9501</v>
      </c>
      <c r="D161" s="64">
        <f>49.9+127.8</f>
        <v>177.7</v>
      </c>
      <c r="E161" s="17"/>
      <c r="F161" s="6">
        <f t="shared" si="21"/>
        <v>8.863284951867922</v>
      </c>
      <c r="G161" s="6">
        <f t="shared" si="22"/>
        <v>1.8703294390064202</v>
      </c>
      <c r="H161" s="6">
        <f t="shared" si="24"/>
        <v>1827.2</v>
      </c>
      <c r="I161" s="6">
        <f t="shared" si="23"/>
        <v>9323.3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0</v>
      </c>
      <c r="C163" s="64">
        <v>1693</v>
      </c>
      <c r="D163" s="64"/>
      <c r="E163" s="17"/>
      <c r="F163" s="133" t="e">
        <f>D163/B163*100</f>
        <v>#DIV/0!</v>
      </c>
      <c r="G163" s="6">
        <f t="shared" si="22"/>
        <v>0</v>
      </c>
      <c r="H163" s="6">
        <f t="shared" si="24"/>
        <v>0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196065.09999999998</v>
      </c>
      <c r="C166" s="87">
        <f>C149+C157+C161+C162+C158+C165+C164+C159+C163+C160</f>
        <v>1523477.0000000002</v>
      </c>
      <c r="D166" s="87">
        <f>D149+D157+D161+D162+D158+D165+D164+D159+D163+D160</f>
        <v>148610.5</v>
      </c>
      <c r="E166" s="22"/>
      <c r="F166" s="3">
        <f>D166/B166*100</f>
        <v>75.79650840460643</v>
      </c>
      <c r="G166" s="3">
        <f t="shared" si="22"/>
        <v>9.75469271935185</v>
      </c>
      <c r="H166" s="3">
        <f>B166-D166</f>
        <v>47454.59999999998</v>
      </c>
      <c r="I166" s="3">
        <f t="shared" si="23"/>
        <v>1374866.5000000002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148399.8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1247667.2000000002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148399.8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2016-02-16T07:32:28Z</cp:lastPrinted>
  <dcterms:created xsi:type="dcterms:W3CDTF">2000-06-20T04:48:00Z</dcterms:created>
  <dcterms:modified xsi:type="dcterms:W3CDTF">2016-02-25T06:09:24Z</dcterms:modified>
  <cp:category/>
  <cp:version/>
  <cp:contentType/>
  <cp:contentStatus/>
</cp:coreProperties>
</file>